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<sst xmlns="http://schemas.openxmlformats.org/spreadsheetml/2006/main" count="124" uniqueCount="103">
  <si>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TIME VALUE OF MONEY (Present Value, Future Value, IRR, Annuity)</t>
  </si>
  <si>
    <t>ALL based on: F=P(1+i)**n</t>
  </si>
  <si>
    <t>PV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</si>
  <si>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</si>
  <si>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</si>
  <si>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</si>
  <si>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</si>
  <si>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</si>
  <si>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</si>
  <si>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</si>
  <si>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</si>
  <si>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</si>
  <si>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</si>
  <si>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FV of $1000 @ 10%</t>
  </si>
  <si>
    <t>PV of $1000 @ 10%</t>
  </si>
  <si>
    <t>TAX EFFECT:</t>
  </si>
  <si>
    <t>FV of $1000 in 10 yrs@ 10%=</t>
  </si>
  <si>
    <t>After Tax (at tax rate)</t>
  </si>
  <si>
    <t>PV of $1000 per year @10%</t>
  </si>
  <si>
    <t>PV of $1000 per year @20%</t>
  </si>
  <si>
    <t>PV of $1000 per year @30%</t>
  </si>
  <si>
    <t>SALES ($Million)</t>
  </si>
  <si>
    <t>Growth (%)</t>
  </si>
  <si>
    <t>NPAT (%)</t>
  </si>
  <si>
    <t>PV at IRR (%)</t>
  </si>
  <si>
    <t>FMV at P/E trailing/leading</t>
  </si>
  <si>
    <t xml:space="preserve"> at 20% growth</t>
  </si>
  <si>
    <t>PV at 10%</t>
  </si>
  <si>
    <t>PV at 30%</t>
  </si>
  <si>
    <t xml:space="preserve"> at 50% growth</t>
  </si>
  <si>
    <t xml:space="preserve"> at 100% growth</t>
  </si>
  <si>
    <t>Sample PW Problem (Quiz)</t>
  </si>
  <si>
    <t>FV of $1000/yr for 25 yrs@ 10%=</t>
  </si>
  <si>
    <t>After Tax, int rate is really 4.8%</t>
  </si>
  <si>
    <t>FV of $1000/yr for 5 years @ 10%=</t>
  </si>
  <si>
    <t>Simple Monthly Payment Calcs:</t>
  </si>
  <si>
    <t>$100K paid monthly at 7.5% per year over 60 months:</t>
  </si>
  <si>
    <t xml:space="preserve"> </t>
  </si>
  <si>
    <t>PMT(rate,nper,pv,fv,type)</t>
  </si>
  <si>
    <t>Lease Example:</t>
  </si>
  <si>
    <t>12%,5yr,$100K,$20K Buyout</t>
  </si>
  <si>
    <t>PMT(12%/12,60,100000,-20000,0)</t>
  </si>
  <si>
    <t>Jimmy</t>
  </si>
  <si>
    <t>PMT(4.4%/12,36,38393,-23400,0)</t>
  </si>
  <si>
    <t>Buy, Finance or Lease the $20K Car:</t>
  </si>
  <si>
    <t>Lease $20K, 4yr, 1.9% $8K Option</t>
  </si>
  <si>
    <t>x</t>
  </si>
  <si>
    <t>PMT(1.9%/12,48,20000,0,0)</t>
  </si>
  <si>
    <t>Finance $20K, 4yr, 1.9%</t>
  </si>
  <si>
    <t>PMT(1.9%/12,48,20000,-8000,0)</t>
  </si>
  <si>
    <t>Lease $20K, 4yr, 5.9% $8K Option</t>
  </si>
  <si>
    <t>PMT(5.9%/12,48,20000,0,0)</t>
  </si>
  <si>
    <t>Finance $20K, 4yr, 5.9%</t>
  </si>
  <si>
    <t>PMT(5.9%/12,48,20000,-8000,0)</t>
  </si>
  <si>
    <t>Bergan's case:</t>
  </si>
  <si>
    <t xml:space="preserve">Finance $20K, 5yr, 1.9% </t>
  </si>
  <si>
    <t>PMT(1.9%/12,60,20000,0,0)</t>
  </si>
  <si>
    <t>Cost=</t>
  </si>
  <si>
    <t xml:space="preserve">Finance $8K, 3yr, 5.9% </t>
  </si>
  <si>
    <t>PMT(5.9%/12,36,8000,0,0)</t>
  </si>
  <si>
    <t>What about GST and PST??</t>
  </si>
  <si>
    <t>ANSWER: WHAT IS THE PRESENT VALUE OF EACH OPTION AT MY COST OF MONEY?</t>
  </si>
  <si>
    <t xml:space="preserve">  PV of $349.68/mo for 5 yrs</t>
  </si>
  <si>
    <t>PV(5%/12,60,C67,0,1)</t>
  </si>
  <si>
    <t xml:space="preserve">  PV of $320.60/mo for 4 yrs &amp; PV of $8K</t>
  </si>
  <si>
    <t>PV(5%/12,48,C68,0,1)</t>
  </si>
  <si>
    <t>Another Way - look at monthly costs over a long period of time</t>
  </si>
  <si>
    <t>IRR=(values,guess)</t>
  </si>
  <si>
    <t>Mortgage and Lease Calculator:</t>
  </si>
  <si>
    <t>Effective Monthly Rate = (((Nominal Rate/2) + 1)^0.166667)-1</t>
  </si>
  <si>
    <t>Nominal Interest %=</t>
  </si>
  <si>
    <t>Effective Monthly Int Factor=</t>
  </si>
  <si>
    <t>Effective Monthly Mort Factor=</t>
  </si>
  <si>
    <t>Principal Amount=</t>
  </si>
  <si>
    <t>Amortization (years)=</t>
  </si>
  <si>
    <t>Monthly Mortgage Payment=</t>
  </si>
  <si>
    <t>Monthly Lease Payment=</t>
  </si>
  <si>
    <t>Smart Car 20Dec04 ($16500+1380options)</t>
  </si>
  <si>
    <t>PMT(7.97%/12,36,17880,-9476.4,1)</t>
  </si>
  <si>
    <t>Lease</t>
  </si>
  <si>
    <t>TODAY's CLASS (GM Car advert $21688):</t>
  </si>
  <si>
    <t>DP=$4990,buyout=$9851</t>
  </si>
  <si>
    <t>Finance</t>
  </si>
  <si>
    <t>NB BRACKETS!!</t>
  </si>
  <si>
    <t>DP=0, Int=0%,60mos</t>
  </si>
  <si>
    <t>Investment ROI</t>
  </si>
  <si>
    <t>Brightside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</si>
  <si>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</si>
  <si>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</si>
  <si>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</si>
  <si>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</si>
  <si>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</si>
  <si>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</si>
  <si>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</si>
  <si>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</si>
  <si>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</si>
  <si>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</si>
  <si>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Feb</t>
  </si>
  <si>
    <t>Jun</t>
  </si>
  <si>
    <t>Jul</t>
  </si>
  <si>
    <t>Jan2007</t>
  </si>
  <si>
    <t>Jan2006</t>
  </si>
  <si>
    <t>Feb2005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</si>
</sst>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000000"/>
    <numFmt numFmtId="173" formatCode="&quot;$&quot;#,##0.00"/>
  </numFmts>
  <fonts count="13">
    <font>
      <sz val="10"/>
      <color indexed="8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7" fontId="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7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workbookViewId="0" topLeftCell="A89">
      <selection activeCell="C109" sqref="C109"/>
    </sheetView>
  </sheetViews>
  <sheetFormatPr defaultColWidth="9.140625" defaultRowHeight="12.75"/>
  <cols>
    <col min="1" max="1" width="24.57421875" style="0" customWidth="1"/>
    <col min="2" max="2" width="22.57421875" style="0" bestFit="1" customWidth="1"/>
    <col min="3" max="3" width="12.28125" style="0" bestFit="1" customWidth="1"/>
    <col min="4" max="4" width="19.140625" style="0" bestFit="1" customWidth="1"/>
    <col min="5" max="7" width="8.421875" style="0" bestFit="1" customWidth="1"/>
    <col min="8" max="9" width="11.57421875" style="0" bestFit="1" customWidth="1"/>
    <col min="10" max="12" width="8.421875" style="0" bestFit="1" customWidth="1"/>
    <col min="13" max="13" width="11.57421875" style="0" bestFit="1" customWidth="1"/>
    <col min="14" max="16384" width="8.421875" style="0" bestFit="1" customWidth="1"/>
  </cols>
  <sheetData>
    <row r="1" spans="1:2" ht="12.75">
      <c r="A1" s="1" t="s">
        <v>0</v>
      </c>
      <c r="B1" s="1"/>
    </row>
    <row r="2" ht="12.75">
      <c r="A2" t="s">
        <v>1</v>
      </c>
    </row>
    <row r="3" spans="2:12" ht="12.7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5" spans="1:13" ht="12.75">
      <c r="A5" t="s">
        <v>13</v>
      </c>
      <c r="B5" s="3">
        <v>1000</v>
      </c>
      <c r="C5" s="3">
        <f aca="true" t="shared" si="0" ref="C5:L5">B5*1.1</f>
        <v>1100</v>
      </c>
      <c r="D5" s="3">
        <f t="shared" si="0"/>
        <v>1210</v>
      </c>
      <c r="E5" s="3">
        <f t="shared" si="0"/>
        <v>1331</v>
      </c>
      <c r="F5" s="3">
        <f t="shared" si="0"/>
        <v>1464.1000000000001</v>
      </c>
      <c r="G5" s="3">
        <f t="shared" si="0"/>
        <v>1610.5100000000002</v>
      </c>
      <c r="H5" s="3">
        <f t="shared" si="0"/>
        <v>1771.5610000000004</v>
      </c>
      <c r="I5" s="3">
        <f t="shared" si="0"/>
        <v>1948.7171000000005</v>
      </c>
      <c r="J5" s="3">
        <f t="shared" si="0"/>
        <v>2143.5888100000006</v>
      </c>
      <c r="K5" s="3">
        <f t="shared" si="0"/>
        <v>2357.9476910000008</v>
      </c>
      <c r="L5" s="3">
        <f t="shared" si="0"/>
        <v>2593.742460100001</v>
      </c>
      <c r="M5" s="12">
        <f>FV(10%,7.2,0,1000,1)</f>
        <v>-1986.2199199062907</v>
      </c>
    </row>
    <row r="6" spans="1:12" ht="12.75">
      <c r="A6" t="s">
        <v>14</v>
      </c>
      <c r="B6" s="3">
        <f aca="true" t="shared" si="1" ref="B6:K6">C6/1.1</f>
        <v>385.54328942953134</v>
      </c>
      <c r="C6" s="3">
        <f t="shared" si="1"/>
        <v>424.09761837248453</v>
      </c>
      <c r="D6" s="3">
        <f t="shared" si="1"/>
        <v>466.507380209733</v>
      </c>
      <c r="E6" s="3">
        <f t="shared" si="1"/>
        <v>513.1581182307064</v>
      </c>
      <c r="F6" s="3">
        <f t="shared" si="1"/>
        <v>564.473930053777</v>
      </c>
      <c r="G6" s="3">
        <f t="shared" si="1"/>
        <v>620.9213230591548</v>
      </c>
      <c r="H6" s="3">
        <f t="shared" si="1"/>
        <v>683.0134553650704</v>
      </c>
      <c r="I6" s="3">
        <f t="shared" si="1"/>
        <v>751.3148009015775</v>
      </c>
      <c r="J6" s="3">
        <f t="shared" si="1"/>
        <v>826.4462809917354</v>
      </c>
      <c r="K6" s="3">
        <f t="shared" si="1"/>
        <v>909.090909090909</v>
      </c>
      <c r="L6" s="3">
        <v>1000</v>
      </c>
    </row>
    <row r="7" spans="2:12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8" ht="12.75">
      <c r="A8" t="s">
        <v>15</v>
      </c>
      <c r="H8" s="4"/>
    </row>
    <row r="9" spans="1:13" ht="12.75">
      <c r="A9" t="s">
        <v>16</v>
      </c>
      <c r="B9" s="3">
        <v>1000</v>
      </c>
      <c r="C9" s="3">
        <f aca="true" t="shared" si="2" ref="C9:L9">B9*1.1-$B$10*(B9*1.1-B9)</f>
        <v>1057</v>
      </c>
      <c r="D9" s="3">
        <f t="shared" si="2"/>
        <v>1117.249</v>
      </c>
      <c r="E9" s="3">
        <f t="shared" si="2"/>
        <v>1180.932193</v>
      </c>
      <c r="F9" s="3">
        <f t="shared" si="2"/>
        <v>1248.2453280010002</v>
      </c>
      <c r="G9" s="3">
        <f t="shared" si="2"/>
        <v>1319.3953116970572</v>
      </c>
      <c r="H9" s="3">
        <f t="shared" si="2"/>
        <v>1394.6008444637896</v>
      </c>
      <c r="I9" s="3">
        <f t="shared" si="2"/>
        <v>1474.0930925982257</v>
      </c>
      <c r="J9" s="3">
        <f t="shared" si="2"/>
        <v>1558.1163988763246</v>
      </c>
      <c r="K9" s="3">
        <f t="shared" si="2"/>
        <v>1646.9290336122751</v>
      </c>
      <c r="L9" s="3">
        <f t="shared" si="2"/>
        <v>1740.803988528175</v>
      </c>
      <c r="M9" s="9">
        <f>FV(5.7%,10,0,1000,1)</f>
        <v>-1740.8039885281742</v>
      </c>
    </row>
    <row r="10" spans="1:12" ht="12.75">
      <c r="A10" t="s">
        <v>17</v>
      </c>
      <c r="B10" s="5">
        <v>0.43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2.75">
      <c r="B12" s="3"/>
      <c r="C12" s="3">
        <v>1000</v>
      </c>
      <c r="D12" s="3">
        <v>1000</v>
      </c>
      <c r="E12" s="3">
        <v>1000</v>
      </c>
      <c r="F12" s="3">
        <v>1000</v>
      </c>
      <c r="G12" s="3">
        <v>1000</v>
      </c>
      <c r="H12" s="3">
        <v>1000</v>
      </c>
      <c r="I12" s="3">
        <v>1000</v>
      </c>
      <c r="J12" s="3">
        <v>1000</v>
      </c>
      <c r="K12" s="3">
        <v>1000</v>
      </c>
      <c r="L12" s="3">
        <v>1000</v>
      </c>
    </row>
    <row r="13" spans="1:12" ht="12.75">
      <c r="A13" t="s">
        <v>18</v>
      </c>
      <c r="B13" s="3">
        <f>NPV(10%,1000,1000,1000,1000,1000,1000,1000,1000,1000,1000)</f>
        <v>6144.567105704679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t="s">
        <v>19</v>
      </c>
      <c r="B14" s="3">
        <f>NPV(20%,1000,1000,1000,1000,1000,1000,1000,1000,1000,1000)</f>
        <v>4192.472085550771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t="s">
        <v>20</v>
      </c>
      <c r="B15" s="3">
        <f>NPV(30%,1000,1000,1000,1000,1000,1000,1000,1000,1000,1000)</f>
        <v>3091.5394990453133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7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t="s">
        <v>22</v>
      </c>
      <c r="B18" s="5">
        <v>0.5</v>
      </c>
      <c r="C18" s="3">
        <v>40</v>
      </c>
      <c r="D18" s="3">
        <f aca="true" t="shared" si="3" ref="D18:L18">C18*(1+$B$18)</f>
        <v>60</v>
      </c>
      <c r="E18" s="3">
        <f t="shared" si="3"/>
        <v>90</v>
      </c>
      <c r="F18" s="3">
        <f t="shared" si="3"/>
        <v>135</v>
      </c>
      <c r="G18" s="3">
        <f t="shared" si="3"/>
        <v>202.5</v>
      </c>
      <c r="H18" s="3">
        <f t="shared" si="3"/>
        <v>303.75</v>
      </c>
      <c r="I18" s="3">
        <f t="shared" si="3"/>
        <v>455.625</v>
      </c>
      <c r="J18" s="3">
        <f t="shared" si="3"/>
        <v>683.4375</v>
      </c>
      <c r="K18" s="3">
        <f t="shared" si="3"/>
        <v>1025.15625</v>
      </c>
      <c r="L18" s="3">
        <f t="shared" si="3"/>
        <v>1537.734375</v>
      </c>
    </row>
    <row r="19" spans="1:12" ht="12.75">
      <c r="A19" t="s">
        <v>23</v>
      </c>
      <c r="B19" s="5">
        <v>0.15</v>
      </c>
      <c r="C19" s="3">
        <f aca="true" t="shared" si="4" ref="C19:L19">$B$19*C18</f>
        <v>6</v>
      </c>
      <c r="D19" s="3">
        <f t="shared" si="4"/>
        <v>9</v>
      </c>
      <c r="E19" s="3">
        <f t="shared" si="4"/>
        <v>13.5</v>
      </c>
      <c r="F19" s="3">
        <f t="shared" si="4"/>
        <v>20.25</v>
      </c>
      <c r="G19" s="3">
        <f t="shared" si="4"/>
        <v>30.375</v>
      </c>
      <c r="H19" s="3">
        <f t="shared" si="4"/>
        <v>45.5625</v>
      </c>
      <c r="I19" s="3">
        <f t="shared" si="4"/>
        <v>68.34375</v>
      </c>
      <c r="J19" s="3">
        <f t="shared" si="4"/>
        <v>102.515625</v>
      </c>
      <c r="K19" s="3">
        <f t="shared" si="4"/>
        <v>153.7734375</v>
      </c>
      <c r="L19" s="3">
        <f t="shared" si="4"/>
        <v>230.66015625</v>
      </c>
    </row>
    <row r="20" spans="1:12" ht="12.75">
      <c r="A20" t="s">
        <v>24</v>
      </c>
      <c r="B20" s="5">
        <v>0.2</v>
      </c>
      <c r="C20" s="6">
        <f>NPV($B$20,C19,D19,E19,F19,G19,H19,I19,J19,K19,L19)</f>
        <v>166.2645149230957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t="s">
        <v>25</v>
      </c>
      <c r="B21" s="3">
        <v>20</v>
      </c>
      <c r="C21" s="6">
        <f aca="true" t="shared" si="5" ref="C21:L21">$B$21*C19</f>
        <v>120</v>
      </c>
      <c r="D21" s="6">
        <f t="shared" si="5"/>
        <v>180</v>
      </c>
      <c r="E21" s="6">
        <f t="shared" si="5"/>
        <v>270</v>
      </c>
      <c r="F21" s="3">
        <f t="shared" si="5"/>
        <v>405</v>
      </c>
      <c r="G21" s="3">
        <f t="shared" si="5"/>
        <v>607.5</v>
      </c>
      <c r="H21" s="3">
        <f t="shared" si="5"/>
        <v>911.25</v>
      </c>
      <c r="I21" s="3">
        <f t="shared" si="5"/>
        <v>1366.875</v>
      </c>
      <c r="J21" s="3">
        <f t="shared" si="5"/>
        <v>2050.3125</v>
      </c>
      <c r="K21" s="3">
        <f t="shared" si="5"/>
        <v>3075.46875</v>
      </c>
      <c r="L21" s="3">
        <f t="shared" si="5"/>
        <v>4613.203125</v>
      </c>
    </row>
    <row r="22" spans="2:12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t="s">
        <v>26</v>
      </c>
      <c r="B24" s="3"/>
      <c r="C24" s="3">
        <v>1000</v>
      </c>
      <c r="D24" s="3">
        <f aca="true" t="shared" si="6" ref="D24:L24">C24*1.2</f>
        <v>1200</v>
      </c>
      <c r="E24" s="3">
        <f t="shared" si="6"/>
        <v>1440</v>
      </c>
      <c r="F24" s="3">
        <f t="shared" si="6"/>
        <v>1728</v>
      </c>
      <c r="G24" s="3">
        <f t="shared" si="6"/>
        <v>2073.6</v>
      </c>
      <c r="H24" s="3">
        <f t="shared" si="6"/>
        <v>2488.3199999999997</v>
      </c>
      <c r="I24" s="3">
        <f t="shared" si="6"/>
        <v>2985.9839999999995</v>
      </c>
      <c r="J24" s="3">
        <f t="shared" si="6"/>
        <v>3583.180799999999</v>
      </c>
      <c r="K24" s="3">
        <f t="shared" si="6"/>
        <v>4299.816959999999</v>
      </c>
      <c r="L24" s="3">
        <f t="shared" si="6"/>
        <v>5159.780351999999</v>
      </c>
    </row>
    <row r="25" spans="1:12" ht="12.75">
      <c r="A25" t="s">
        <v>27</v>
      </c>
      <c r="B25" s="3">
        <f>NPV(10%,C24,D24,E24,F24,G24,H24,I24,J24,K24,L24)</f>
        <v>13871.824275727355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t="s">
        <v>28</v>
      </c>
      <c r="B26" s="3">
        <f>NPV(30%,C24,D24,E24,F24,G24,H24,I24,J24,K24,L24)</f>
        <v>5508.6289285813655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t="s">
        <v>29</v>
      </c>
      <c r="B28" s="3"/>
      <c r="C28" s="3">
        <v>1000</v>
      </c>
      <c r="D28" s="3">
        <f aca="true" t="shared" si="7" ref="D28:L28">C28*1.5</f>
        <v>1500</v>
      </c>
      <c r="E28" s="3">
        <f t="shared" si="7"/>
        <v>2250</v>
      </c>
      <c r="F28" s="3">
        <f t="shared" si="7"/>
        <v>3375</v>
      </c>
      <c r="G28" s="3">
        <f t="shared" si="7"/>
        <v>5062.5</v>
      </c>
      <c r="H28" s="3">
        <f t="shared" si="7"/>
        <v>7593.75</v>
      </c>
      <c r="I28" s="3">
        <f t="shared" si="7"/>
        <v>11390.625</v>
      </c>
      <c r="J28" s="3">
        <f t="shared" si="7"/>
        <v>17085.9375</v>
      </c>
      <c r="K28" s="3">
        <f t="shared" si="7"/>
        <v>25628.90625</v>
      </c>
      <c r="L28" s="3">
        <f t="shared" si="7"/>
        <v>38443.359375</v>
      </c>
    </row>
    <row r="29" spans="1:12" ht="12.75">
      <c r="A29" t="s">
        <v>27</v>
      </c>
      <c r="B29" s="3">
        <f>NPV(10%,C28,D28,E28,F28,G28,H28,I28,J28,K28,L28)</f>
        <v>53080.92211309668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t="s">
        <v>28</v>
      </c>
      <c r="B30" s="3">
        <f>NPV(30%,C28,D28,E28,F28,G28,H28,I28,J28,K28,L28)</f>
        <v>15914.576348935403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t="s">
        <v>30</v>
      </c>
      <c r="B32" s="3"/>
      <c r="C32" s="3">
        <v>1000</v>
      </c>
      <c r="D32" s="3">
        <f aca="true" t="shared" si="8" ref="D32:L32">C32*2</f>
        <v>2000</v>
      </c>
      <c r="E32" s="3">
        <f t="shared" si="8"/>
        <v>4000</v>
      </c>
      <c r="F32" s="3">
        <f t="shared" si="8"/>
        <v>8000</v>
      </c>
      <c r="G32" s="3">
        <f t="shared" si="8"/>
        <v>16000</v>
      </c>
      <c r="H32" s="3">
        <f t="shared" si="8"/>
        <v>32000</v>
      </c>
      <c r="I32" s="3">
        <f t="shared" si="8"/>
        <v>64000</v>
      </c>
      <c r="J32" s="3">
        <f t="shared" si="8"/>
        <v>128000</v>
      </c>
      <c r="K32" s="3">
        <f t="shared" si="8"/>
        <v>256000</v>
      </c>
      <c r="L32" s="3">
        <f t="shared" si="8"/>
        <v>512000</v>
      </c>
    </row>
    <row r="33" spans="1:12" ht="12.75">
      <c r="A33" t="s">
        <v>27</v>
      </c>
      <c r="B33" s="3">
        <f>NPV(10%,C32,D32,E32,F32,G32,H32,I32,J32,K32,L32)</f>
        <v>437551.47597315576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t="s">
        <v>28</v>
      </c>
      <c r="B34" s="3">
        <f>NPV(30%,C32,D32,E32,F32,G32,H32,I32,J32,K32,L32)</f>
        <v>104684.37984754202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t="s">
        <v>31</v>
      </c>
      <c r="B36" s="3"/>
      <c r="C36" s="3">
        <v>-1000000</v>
      </c>
      <c r="D36" s="3">
        <v>-500000</v>
      </c>
      <c r="E36" s="3">
        <v>0</v>
      </c>
      <c r="F36" s="3">
        <v>1000000</v>
      </c>
      <c r="G36" s="3">
        <v>5000000</v>
      </c>
      <c r="H36" s="3"/>
      <c r="I36" s="3"/>
      <c r="J36" s="3"/>
      <c r="K36" s="3"/>
      <c r="L36" s="3"/>
    </row>
    <row r="37" spans="2:12" ht="12.75">
      <c r="B37" s="3">
        <f>NPV(30%,C36,D36,E36,F36,G36)</f>
        <v>631684.4109638474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t="s">
        <v>32</v>
      </c>
      <c r="B39" s="3">
        <f>FV(10%,25,1000,0,1)</f>
        <v>-108181.7653772723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t="s">
        <v>33</v>
      </c>
      <c r="B40" s="3">
        <f>FV(5.7%,25,1000,0,1)</f>
        <v>-55599.93586113497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34" ht="12.75">
      <c r="A41" t="s">
        <v>34</v>
      </c>
      <c r="B41" s="3"/>
      <c r="C41" s="3">
        <v>1000</v>
      </c>
      <c r="D41" s="3">
        <f>C41*1.1</f>
        <v>1100</v>
      </c>
      <c r="E41" s="3">
        <f>D41*1.1</f>
        <v>1210</v>
      </c>
      <c r="F41" s="3">
        <f>E41*1.1</f>
        <v>1331</v>
      </c>
      <c r="G41" s="3">
        <f>F41*1.1</f>
        <v>1464.1000000000001</v>
      </c>
      <c r="H41" s="3">
        <f>G41*1.1</f>
        <v>1610.5100000000002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12" ht="12.75">
      <c r="B42" s="3"/>
      <c r="C42" s="3"/>
      <c r="D42" s="3">
        <v>1000</v>
      </c>
      <c r="E42" s="3">
        <f>D42*1.1</f>
        <v>1100</v>
      </c>
      <c r="F42" s="3">
        <f>E42*1.1</f>
        <v>1210</v>
      </c>
      <c r="G42" s="3">
        <f>F42*1.1</f>
        <v>1331</v>
      </c>
      <c r="H42" s="3">
        <f>G42*1.1</f>
        <v>1464.1000000000001</v>
      </c>
      <c r="I42" s="3"/>
      <c r="J42" s="3"/>
      <c r="K42" s="3"/>
      <c r="L42" s="3"/>
    </row>
    <row r="43" spans="2:12" ht="12.75">
      <c r="B43" s="3"/>
      <c r="C43" s="3"/>
      <c r="D43" s="3"/>
      <c r="E43" s="3">
        <v>1000</v>
      </c>
      <c r="F43" s="3">
        <f>E43*1.1</f>
        <v>1100</v>
      </c>
      <c r="G43" s="3">
        <f>F43*1.1</f>
        <v>1210</v>
      </c>
      <c r="H43" s="3">
        <f>G43*1.1</f>
        <v>1331</v>
      </c>
      <c r="I43" s="3"/>
      <c r="J43" s="3"/>
      <c r="K43" s="3"/>
      <c r="L43" s="3"/>
    </row>
    <row r="44" spans="2:12" ht="12.75">
      <c r="B44" s="3"/>
      <c r="C44" s="3"/>
      <c r="D44" s="3"/>
      <c r="E44" s="3"/>
      <c r="F44" s="3">
        <v>1000</v>
      </c>
      <c r="G44" s="3">
        <f>F44*1.1</f>
        <v>1100</v>
      </c>
      <c r="H44" s="3">
        <f>G44*1.1</f>
        <v>1210</v>
      </c>
      <c r="I44" s="3"/>
      <c r="J44" s="3"/>
      <c r="K44" s="3"/>
      <c r="L44" s="3"/>
    </row>
    <row r="45" spans="2:12" ht="12.75">
      <c r="B45" s="3"/>
      <c r="C45" s="3"/>
      <c r="D45" s="3"/>
      <c r="E45" s="3"/>
      <c r="F45" s="3"/>
      <c r="G45" s="3">
        <v>1000</v>
      </c>
      <c r="H45" s="3">
        <f>G45*1.1</f>
        <v>1100</v>
      </c>
      <c r="I45" s="3"/>
      <c r="J45" s="3"/>
      <c r="K45" s="3"/>
      <c r="L45" s="3"/>
    </row>
    <row r="46" spans="2:12" ht="12.75">
      <c r="B46" s="3"/>
      <c r="C46" s="3"/>
      <c r="D46" s="3"/>
      <c r="E46" s="3"/>
      <c r="F46" s="3"/>
      <c r="G46" s="3"/>
      <c r="H46" s="3">
        <f>SUM(H41:H45)</f>
        <v>6715.610000000001</v>
      </c>
      <c r="I46" s="3"/>
      <c r="J46" s="3"/>
      <c r="K46" s="3"/>
      <c r="L46" s="3"/>
    </row>
    <row r="47" ht="12.75">
      <c r="H47" s="4">
        <f>FV(10%,5,1000,0,1)</f>
        <v>-6715.610000000007</v>
      </c>
    </row>
    <row r="49" ht="12.75">
      <c r="A49" t="s">
        <v>35</v>
      </c>
    </row>
    <row r="50" spans="1:4" ht="12.75">
      <c r="A50" t="s">
        <v>36</v>
      </c>
      <c r="C50" s="4">
        <f>PMT(7.5%/12,5*12,100000,0,0)</f>
        <v>-2003.794859562362</v>
      </c>
      <c r="D50" t="s">
        <v>37</v>
      </c>
    </row>
    <row r="51" spans="1:3" ht="12.75">
      <c r="A51" t="s">
        <v>38</v>
      </c>
      <c r="C51" s="8"/>
    </row>
    <row r="52" ht="12.75">
      <c r="C52" s="8"/>
    </row>
    <row r="53" spans="1:4" ht="12.75">
      <c r="A53" t="s">
        <v>39</v>
      </c>
      <c r="B53" t="s">
        <v>40</v>
      </c>
      <c r="C53" s="4">
        <f>PMT(12%/12,60,100000,-20000,0)</f>
        <v>-1979.555814792141</v>
      </c>
      <c r="D53" t="s">
        <v>41</v>
      </c>
    </row>
    <row r="55" ht="12.75">
      <c r="C55" s="8"/>
    </row>
    <row r="56" spans="1:4" ht="12.75">
      <c r="A56" t="s">
        <v>42</v>
      </c>
      <c r="C56" s="8">
        <f>PMT(1.9%/12,48,31000*0.95,-12213,0)</f>
        <v>-392.54428635010095</v>
      </c>
      <c r="D56" t="s">
        <v>43</v>
      </c>
    </row>
    <row r="57" ht="12.75">
      <c r="C57" s="8"/>
    </row>
    <row r="58" spans="1:4" ht="12.75">
      <c r="A58" t="s">
        <v>77</v>
      </c>
      <c r="C58" s="8">
        <f>PMT(7.97%/12,36,17965,-9476.4,1)</f>
        <v>-326.65397195879325</v>
      </c>
      <c r="D58" t="s">
        <v>78</v>
      </c>
    </row>
    <row r="59" ht="12.75">
      <c r="C59" s="8"/>
    </row>
    <row r="60" spans="1:3" ht="12.75">
      <c r="A60" s="11" t="s">
        <v>80</v>
      </c>
      <c r="C60" s="8" t="s">
        <v>83</v>
      </c>
    </row>
    <row r="61" spans="1:4" ht="12.75">
      <c r="A61" t="s">
        <v>79</v>
      </c>
      <c r="B61" t="s">
        <v>81</v>
      </c>
      <c r="C61" s="8">
        <f>PMT(7.58%/12,48,(21688-4990),-9851,0)</f>
        <v>-228.0341721723637</v>
      </c>
      <c r="D61" s="13">
        <f>(48*C61)-4990-9851</f>
        <v>-25786.640264273457</v>
      </c>
    </row>
    <row r="62" spans="1:4" ht="12.75">
      <c r="A62" t="s">
        <v>82</v>
      </c>
      <c r="B62" t="s">
        <v>84</v>
      </c>
      <c r="C62" s="8">
        <f>PMT(0%/12,60,21688,0,0)</f>
        <v>-361.46666666666664</v>
      </c>
      <c r="D62" s="13">
        <f>60*C62</f>
        <v>-21688</v>
      </c>
    </row>
    <row r="63" ht="12.75">
      <c r="C63" s="8"/>
    </row>
    <row r="64" spans="1:3" ht="12.75">
      <c r="A64" s="11" t="s">
        <v>44</v>
      </c>
      <c r="C64" s="8"/>
    </row>
    <row r="65" spans="1:4" ht="12.75">
      <c r="A65" s="10" t="s">
        <v>45</v>
      </c>
      <c r="B65" t="s">
        <v>46</v>
      </c>
      <c r="C65" s="8">
        <f>PMT(2.4%/12,60,15748-995,-0.25*15748,0)</f>
        <v>-199.35292552874657</v>
      </c>
      <c r="D65" t="s">
        <v>47</v>
      </c>
    </row>
    <row r="66" spans="1:4" ht="12.75">
      <c r="A66" s="10" t="s">
        <v>48</v>
      </c>
      <c r="C66" s="8">
        <f>PMT(5%/12,60,1000,0,0)</f>
        <v>-18.87123364401087</v>
      </c>
      <c r="D66" t="s">
        <v>49</v>
      </c>
    </row>
    <row r="67" ht="12.75">
      <c r="C67" s="8"/>
    </row>
    <row r="68" spans="1:4" ht="12.75">
      <c r="A68" s="10" t="s">
        <v>50</v>
      </c>
      <c r="C68" s="8">
        <f>PMT(5.9%/12,48,20000,-8000,0)</f>
        <v>-320.60383665517094</v>
      </c>
      <c r="D68" t="s">
        <v>51</v>
      </c>
    </row>
    <row r="69" spans="1:4" ht="12.75">
      <c r="A69" s="10" t="s">
        <v>52</v>
      </c>
      <c r="C69" s="8">
        <f>PMT(5.9%/12,48,20000,0,0)</f>
        <v>-468.78417220306267</v>
      </c>
      <c r="D69" t="s">
        <v>53</v>
      </c>
    </row>
    <row r="70" ht="12.75">
      <c r="C70" s="8"/>
    </row>
    <row r="71" ht="12.75">
      <c r="C71" s="8"/>
    </row>
    <row r="72" spans="1:3" ht="12.75">
      <c r="A72" s="10"/>
      <c r="C72" s="8"/>
    </row>
    <row r="73" spans="1:3" ht="12.75">
      <c r="A73" s="10" t="s">
        <v>54</v>
      </c>
      <c r="C73" s="8"/>
    </row>
    <row r="74" spans="1:9" ht="12.75">
      <c r="A74" s="10" t="s">
        <v>55</v>
      </c>
      <c r="C74" s="8">
        <f>PMT(1.9%/12,60,20000,0)</f>
        <v>-349.6809445493821</v>
      </c>
      <c r="D74" t="s">
        <v>56</v>
      </c>
      <c r="G74" t="s">
        <v>57</v>
      </c>
      <c r="H74" s="12">
        <f>60*C74</f>
        <v>-20980.856672962927</v>
      </c>
      <c r="I74" s="12">
        <f>H74+6000</f>
        <v>-14980.856672962927</v>
      </c>
    </row>
    <row r="75" spans="1:8" ht="12.75">
      <c r="A75" s="10" t="s">
        <v>50</v>
      </c>
      <c r="C75" s="8">
        <f>PMT(5.9%/12,48,20000,-8000,0)</f>
        <v>-320.60383665517094</v>
      </c>
      <c r="D75" t="s">
        <v>51</v>
      </c>
      <c r="G75" t="s">
        <v>57</v>
      </c>
      <c r="H75" s="12">
        <f>48*C75</f>
        <v>-15388.984159448206</v>
      </c>
    </row>
    <row r="76" spans="1:9" ht="12.75">
      <c r="A76" s="10" t="s">
        <v>58</v>
      </c>
      <c r="C76" s="8">
        <f>PMT(5.9%/12,36,8000,0,0)</f>
        <v>-243.0131832145528</v>
      </c>
      <c r="D76" t="s">
        <v>59</v>
      </c>
      <c r="G76" t="s">
        <v>57</v>
      </c>
      <c r="H76" s="12">
        <f>36*C76</f>
        <v>-8748.474595723901</v>
      </c>
      <c r="I76" s="12">
        <f>H75+H76</f>
        <v>-24137.458755172105</v>
      </c>
    </row>
    <row r="77" spans="1:3" ht="12.75">
      <c r="A77" s="10"/>
      <c r="C77" s="8"/>
    </row>
    <row r="78" spans="1:3" ht="12.75">
      <c r="A78" s="10" t="s">
        <v>60</v>
      </c>
      <c r="C78" s="8"/>
    </row>
    <row r="79" spans="1:3" ht="12.75">
      <c r="A79" s="10"/>
      <c r="C79" s="8"/>
    </row>
    <row r="80" spans="1:4" ht="12.75">
      <c r="A80" s="10" t="s">
        <v>61</v>
      </c>
      <c r="C80" s="8"/>
      <c r="D80" s="9"/>
    </row>
    <row r="81" spans="1:5" ht="12.75">
      <c r="A81" s="10" t="s">
        <v>62</v>
      </c>
      <c r="C81" s="8"/>
      <c r="D81" s="9">
        <f>PV(5%/12,60,C74,0,1)</f>
        <v>18607.047907355252</v>
      </c>
      <c r="E81" t="s">
        <v>63</v>
      </c>
    </row>
    <row r="82" spans="1:5" ht="12.75">
      <c r="A82" s="10" t="s">
        <v>64</v>
      </c>
      <c r="C82" s="8"/>
      <c r="D82" s="9">
        <f>PV(5%/12,48,C75,0,1)</f>
        <v>13979.572798746975</v>
      </c>
      <c r="E82" t="s">
        <v>65</v>
      </c>
    </row>
    <row r="83" spans="1:4" ht="12.75">
      <c r="A83" s="10"/>
      <c r="C83" s="8"/>
      <c r="D83" s="9">
        <f>PV(5%,4,0,-8000,1)</f>
        <v>6581.619798335056</v>
      </c>
    </row>
    <row r="84" spans="1:4" ht="12.75">
      <c r="A84" s="10"/>
      <c r="C84" s="8"/>
      <c r="D84" s="9">
        <f>SUM(D82:D83)</f>
        <v>20561.19259708203</v>
      </c>
    </row>
    <row r="85" spans="1:4" ht="12.75">
      <c r="A85" s="10" t="s">
        <v>66</v>
      </c>
      <c r="C85" s="8"/>
      <c r="D85" s="9"/>
    </row>
    <row r="86" spans="1:4" ht="12.75">
      <c r="A86" s="10"/>
      <c r="C86" s="8"/>
      <c r="D86" s="9"/>
    </row>
    <row r="87" spans="1:4" ht="12.75">
      <c r="A87" s="10"/>
      <c r="C87" s="8"/>
      <c r="D87" s="9"/>
    </row>
    <row r="88" ht="12.75">
      <c r="A88" t="s">
        <v>67</v>
      </c>
    </row>
    <row r="89" spans="1:4" ht="12.75">
      <c r="A89" t="s">
        <v>37</v>
      </c>
      <c r="C89">
        <f>24*48</f>
        <v>1152</v>
      </c>
      <c r="D89">
        <f>16000*0.12</f>
        <v>1920</v>
      </c>
    </row>
    <row r="90" ht="12.75">
      <c r="C90">
        <f>0.019*29098</f>
        <v>552.862</v>
      </c>
    </row>
    <row r="91" spans="3:4" ht="12.75">
      <c r="C91">
        <f>80*22*12</f>
        <v>21120</v>
      </c>
      <c r="D91">
        <f>(407-392)*48</f>
        <v>720</v>
      </c>
    </row>
    <row r="92" ht="12.75">
      <c r="A92" s="10" t="s">
        <v>68</v>
      </c>
    </row>
    <row r="93" ht="12.75">
      <c r="A93" t="s">
        <v>69</v>
      </c>
    </row>
    <row r="95" spans="1:2" ht="12.75">
      <c r="A95" t="s">
        <v>70</v>
      </c>
      <c r="B95">
        <v>5</v>
      </c>
    </row>
    <row r="96" spans="1:2" ht="12.75">
      <c r="A96" t="s">
        <v>71</v>
      </c>
      <c r="B96">
        <f>B95%/12</f>
        <v>0.004166666666666667</v>
      </c>
    </row>
    <row r="97" spans="1:2" ht="12.75">
      <c r="A97" t="s">
        <v>72</v>
      </c>
      <c r="B97">
        <f>(((B95%/2)+1)^0.166667)-1</f>
        <v>0.004123923729958623</v>
      </c>
    </row>
    <row r="98" spans="1:2" ht="12.75">
      <c r="A98" t="s">
        <v>73</v>
      </c>
      <c r="B98">
        <v>75000</v>
      </c>
    </row>
    <row r="99" spans="1:2" ht="12.75">
      <c r="A99" t="s">
        <v>74</v>
      </c>
      <c r="B99">
        <v>25</v>
      </c>
    </row>
    <row r="100" spans="1:2" ht="12.75">
      <c r="A100" t="s">
        <v>75</v>
      </c>
      <c r="B100" s="9">
        <f>PMT(B97,B99*12,B98)*-1</f>
        <v>436.20417102322085</v>
      </c>
    </row>
    <row r="101" spans="1:2" ht="12.75">
      <c r="A101" t="s">
        <v>76</v>
      </c>
      <c r="B101" s="9">
        <f>PMT(B96,B99*12,B98)*-1</f>
        <v>438.4425311309835</v>
      </c>
    </row>
    <row r="104" ht="12.75">
      <c r="A104" t="s">
        <v>85</v>
      </c>
    </row>
    <row r="105" spans="3:30" ht="12.75">
      <c r="C105" s="15" t="s">
        <v>102</v>
      </c>
      <c r="D105" t="s">
        <v>87</v>
      </c>
      <c r="E105" t="s">
        <v>88</v>
      </c>
      <c r="F105" t="s">
        <v>89</v>
      </c>
      <c r="G105" t="s">
        <v>90</v>
      </c>
      <c r="H105" t="s">
        <v>91</v>
      </c>
      <c r="I105" t="s">
        <v>92</v>
      </c>
      <c r="J105" t="s">
        <v>93</v>
      </c>
      <c r="K105" t="s">
        <v>94</v>
      </c>
      <c r="L105" t="s">
        <v>95</v>
      </c>
      <c r="M105" t="s">
        <v>96</v>
      </c>
      <c r="N105" s="14" t="s">
        <v>101</v>
      </c>
      <c r="O105" t="s">
        <v>97</v>
      </c>
      <c r="P105" t="s">
        <v>87</v>
      </c>
      <c r="Q105" t="s">
        <v>88</v>
      </c>
      <c r="R105" t="s">
        <v>89</v>
      </c>
      <c r="S105" t="s">
        <v>98</v>
      </c>
      <c r="T105" t="s">
        <v>99</v>
      </c>
      <c r="U105" t="s">
        <v>92</v>
      </c>
      <c r="V105" t="s">
        <v>93</v>
      </c>
      <c r="W105" t="s">
        <v>94</v>
      </c>
      <c r="X105" t="s">
        <v>95</v>
      </c>
      <c r="Y105" t="s">
        <v>96</v>
      </c>
      <c r="Z105" s="14" t="s">
        <v>100</v>
      </c>
      <c r="AA105" t="s">
        <v>97</v>
      </c>
      <c r="AB105" t="s">
        <v>87</v>
      </c>
      <c r="AC105" t="s">
        <v>88</v>
      </c>
      <c r="AD105" t="s">
        <v>89</v>
      </c>
    </row>
    <row r="106" spans="1:30" ht="12.75">
      <c r="A106" t="s">
        <v>86</v>
      </c>
      <c r="C106">
        <v>-100000</v>
      </c>
      <c r="G106">
        <v>-75000</v>
      </c>
      <c r="AD106">
        <v>368000</v>
      </c>
    </row>
    <row r="107" ht="12.75">
      <c r="C107" s="16">
        <f>IRR(C106:AD106,50)</f>
        <v>0.579641910939188</v>
      </c>
    </row>
    <row r="108" ht="12.75">
      <c r="C108">
        <f>368/175</f>
        <v>2.1028571428571428</v>
      </c>
    </row>
  </sheetData>
  <printOptions gridLines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Volker</cp:lastModifiedBy>
  <dcterms:modified xsi:type="dcterms:W3CDTF">2007-05-09T18:12:31Z</dcterms:modified>
  <cp:category/>
  <cp:version/>
  <cp:contentType/>
  <cp:contentStatus/>
</cp:coreProperties>
</file>